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tephanie\Desktop\"/>
    </mc:Choice>
  </mc:AlternateContent>
  <workbookProtection workbookAlgorithmName="SHA-512" workbookHashValue="u8SQqn6NHAmQy5vlXauwi2ojTmeLSbeWJs1LgD8IHvnAOro9+0Ym1KL7Xz1DY9ma5CruO9fwq4uvya8LopY0ZA==" workbookSaltValue="7FRNp0+3bPfSbIOKIzSyCQ==" workbookSpinCount="100000" lockStructure="1"/>
  <bookViews>
    <workbookView xWindow="0" yWindow="0" windowWidth="19180" windowHeight="6740"/>
  </bookViews>
  <sheets>
    <sheet name="Oct22-Sep23 CalFresh Calculator" sheetId="2" r:id="rId1"/>
    <sheet name="Sheet1" sheetId="4"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01" i="2" l="1"/>
  <c r="L22" i="2" l="1"/>
  <c r="K22" i="2"/>
  <c r="J22" i="2"/>
  <c r="I22" i="2"/>
  <c r="H22" i="2"/>
  <c r="G22" i="2"/>
  <c r="F22" i="2"/>
  <c r="E22" i="2"/>
  <c r="L127" i="2" l="1"/>
  <c r="K127" i="2"/>
  <c r="J127" i="2"/>
  <c r="I127" i="2"/>
  <c r="H127" i="2"/>
  <c r="G127" i="2"/>
  <c r="F127" i="2"/>
  <c r="E127" i="2"/>
  <c r="B123" i="2"/>
  <c r="B112" i="2"/>
  <c r="B114" i="2" s="1"/>
  <c r="B91" i="2"/>
  <c r="B67" i="2"/>
  <c r="B55" i="2"/>
  <c r="B47" i="2"/>
  <c r="B44" i="2"/>
  <c r="B43" i="2"/>
  <c r="B37" i="2"/>
  <c r="B18" i="2"/>
  <c r="B14" i="2"/>
  <c r="B29" i="2" s="1"/>
  <c r="B69" i="2" l="1"/>
  <c r="B22" i="2"/>
  <c r="B24" i="2" s="1"/>
  <c r="B31" i="2"/>
  <c r="B33" i="2" s="1"/>
  <c r="B35" i="2" s="1"/>
  <c r="B49" i="2" s="1"/>
  <c r="B71" i="2" l="1"/>
  <c r="B73" i="2" s="1"/>
  <c r="B75" i="2" s="1"/>
  <c r="B81" i="2" s="1"/>
  <c r="B83" i="2" l="1"/>
  <c r="B87" i="2"/>
  <c r="B89" i="2" s="1"/>
  <c r="B94" i="2" s="1"/>
  <c r="B97" i="2" s="1"/>
  <c r="B103" i="2" l="1"/>
  <c r="B116" i="2" s="1"/>
  <c r="B118" i="2" s="1"/>
  <c r="B119" i="2" s="1"/>
  <c r="B121" i="2" s="1"/>
</calcChain>
</file>

<file path=xl/sharedStrings.xml><?xml version="1.0" encoding="utf-8"?>
<sst xmlns="http://schemas.openxmlformats.org/spreadsheetml/2006/main" count="173" uniqueCount="157">
  <si>
    <t>(C)</t>
  </si>
  <si>
    <t>(G)</t>
  </si>
  <si>
    <t>(F)</t>
  </si>
  <si>
    <t>(E)</t>
  </si>
  <si>
    <t>(D)</t>
  </si>
  <si>
    <t>(H)</t>
  </si>
  <si>
    <t>(K)</t>
  </si>
  <si>
    <t>(N)</t>
  </si>
  <si>
    <t>(O)</t>
  </si>
  <si>
    <t>(P)</t>
  </si>
  <si>
    <t>(T)</t>
  </si>
  <si>
    <t>(U)</t>
  </si>
  <si>
    <t>(V)</t>
  </si>
  <si>
    <t>(AA)</t>
  </si>
  <si>
    <t>(W)</t>
  </si>
  <si>
    <t>(X)</t>
  </si>
  <si>
    <t>(Y)</t>
  </si>
  <si>
    <t>(Z)</t>
  </si>
  <si>
    <t>(AB)</t>
  </si>
  <si>
    <t>(AD)</t>
  </si>
  <si>
    <t>(AC)</t>
  </si>
  <si>
    <t>(L)</t>
  </si>
  <si>
    <t>I. Gross Income Eligibility Test</t>
  </si>
  <si>
    <t>II. Net Income Eligibility Test</t>
  </si>
  <si>
    <t>(R)</t>
  </si>
  <si>
    <t>(S)</t>
  </si>
  <si>
    <t>(Q)</t>
  </si>
  <si>
    <t xml:space="preserve">Household Size </t>
  </si>
  <si>
    <t>Household Size</t>
  </si>
  <si>
    <t>1,2,3</t>
  </si>
  <si>
    <t>IV. Pro Rated First Month's Allotment</t>
  </si>
  <si>
    <t>6+</t>
  </si>
  <si>
    <t>(I)</t>
  </si>
  <si>
    <t>(J)</t>
  </si>
  <si>
    <t>For each additional household member add…</t>
  </si>
  <si>
    <t>H.   Enter the Standard Deduction</t>
  </si>
  <si>
    <t>Are any members of the household a senior or disabled?</t>
  </si>
  <si>
    <t>Y or N</t>
  </si>
  <si>
    <t>Standard Deduction</t>
  </si>
  <si>
    <t>Maximum Gross Limit</t>
  </si>
  <si>
    <t>Max. Net Income Limit</t>
  </si>
  <si>
    <t>SUA</t>
  </si>
  <si>
    <t>LUA</t>
  </si>
  <si>
    <t>TUA</t>
  </si>
  <si>
    <t>Utility Cost</t>
  </si>
  <si>
    <t>Deduction</t>
  </si>
  <si>
    <t>Do you pay for either heating or cooling separate from rent?</t>
  </si>
  <si>
    <t>Shelter Deduction Maximum</t>
  </si>
  <si>
    <t>Homeless Shelter Deduction</t>
  </si>
  <si>
    <t>P.   ½ of Adjusted Income (L)</t>
  </si>
  <si>
    <t>Q.   Shelter cost difference (subtract line P from O)</t>
  </si>
  <si>
    <t>R.   Excess Shelter Deduction Enter (1) or (2)</t>
  </si>
  <si>
    <t xml:space="preserve">S.   Monthly Net Income </t>
  </si>
  <si>
    <t>T.   Multiply the Household's Net Income (S) by 0.3</t>
  </si>
  <si>
    <t>AA.   Subtract the day of the month the household applied</t>
  </si>
  <si>
    <t>AB.   Divide by 30</t>
  </si>
  <si>
    <t xml:space="preserve">        Round down to next whole dollar:</t>
  </si>
  <si>
    <t>Does the family's net income meet net income test?</t>
  </si>
  <si>
    <t>For non-Elderly &amp; Disabled Only</t>
  </si>
  <si>
    <t xml:space="preserve">X.   For HH of 3+, </t>
  </si>
  <si>
    <t xml:space="preserve">Y.   For HH of 1-2,  </t>
  </si>
  <si>
    <t>Enter the number of days in the month plus 1</t>
  </si>
  <si>
    <t>U.   Adjusted Food Income (round up to next $)</t>
  </si>
  <si>
    <t>Password: food4u</t>
  </si>
  <si>
    <t xml:space="preserve">    </t>
  </si>
  <si>
    <t>AC.   Multiply (AB) by (Z)</t>
  </si>
  <si>
    <t>Is household homeless and paying un-verified Shelter Costs?</t>
  </si>
  <si>
    <t>IF "NO" STOP HERE</t>
  </si>
  <si>
    <t>(B)</t>
  </si>
  <si>
    <t>(A1)</t>
  </si>
  <si>
    <t>(A2)</t>
  </si>
  <si>
    <t>F.   Net Earned Income (D) - (E)</t>
  </si>
  <si>
    <t>L.   Adjusted income = (G) - (H) - (I) - (J) - (K)</t>
  </si>
  <si>
    <t xml:space="preserve">G.   Add Unearned Income (A2) to Net Earned Income (F) Subtract (B). </t>
  </si>
  <si>
    <t>(M)1</t>
  </si>
  <si>
    <t>(M)2</t>
  </si>
  <si>
    <t>M. Shelter Deduction</t>
  </si>
  <si>
    <t>If yes, Skip Excess Shelter Deduction Section. If no, take Homeless Shelter Deduction</t>
  </si>
  <si>
    <t>K.   Homeless Shelter Deduction - Only if applicable</t>
  </si>
  <si>
    <t xml:space="preserve">       add $1 if (W) is $1, $3 or $5.</t>
  </si>
  <si>
    <t>Do you pay for a telephone (including cell phone)?</t>
  </si>
  <si>
    <t>Do you pay for 2 different utilities beside heating or cooling (garbage, water, etc.)?</t>
  </si>
  <si>
    <t>If yes, skip remaining questions</t>
  </si>
  <si>
    <t>If yes, skip next question</t>
  </si>
  <si>
    <t>M3   Pro-rated Housing Costs: Prorated using numbers in B5 - B7 - if error, make sure B5-B7 are filled in</t>
  </si>
  <si>
    <t>M3</t>
  </si>
  <si>
    <t>O.   Adjusted Shelter Costs (M3+N)</t>
  </si>
  <si>
    <t>J2. Excess Medical Deduction = J - $35</t>
  </si>
  <si>
    <t xml:space="preserve">      Subtract Excess Shelter Deduction (R1 or R2) from Adjusted Income (L)</t>
  </si>
  <si>
    <t>E.   Earned Income Deduction [20% of D]</t>
  </si>
  <si>
    <t>C.   Gross Monthly Income</t>
  </si>
  <si>
    <t xml:space="preserve">If these expenses are shared among eligible and inelgible hh members - use pro-rated percentage. </t>
  </si>
  <si>
    <t xml:space="preserve"> </t>
  </si>
  <si>
    <t xml:space="preserve">      (1) For Non-elderly, Non-Disabled Shelter cost difference (Q) or Shelter Deduction Maximum,</t>
  </si>
  <si>
    <t xml:space="preserve">D.   Gross Monthly Earned Income - Pro-rated (A1) </t>
  </si>
  <si>
    <t>ALL FAMILIES NOW RECEIVE A SHELTER</t>
  </si>
  <si>
    <t xml:space="preserve">N2.  Calculation of Utility Allowance - Automatically Entered for All Households </t>
  </si>
  <si>
    <t>Need to know in order to pro-rate shelter expenses appropriately.</t>
  </si>
  <si>
    <t>HH(a): Number of people in the "purchase &amp; prepare together" household (see 2nd worksheet for rules):</t>
  </si>
  <si>
    <t>HH(b): Number of these people have a qualifying immigrant status and applying w/household?</t>
  </si>
  <si>
    <t>200% FPL</t>
  </si>
  <si>
    <t xml:space="preserve">IF "NO" STOP HERE. UNLESS there is someone in the household who is Sr &amp; Disabled. They have no gross income test and are eligible with a Gross Income ABOVE 200% as long as their assets are below Asset Test. </t>
  </si>
  <si>
    <t>Enter only the expenses of senior or disabled members of CalFresh HH who are eligible &amp; applying for Calfresh.</t>
  </si>
  <si>
    <t>I.   Enter Dependent Care Deduction: Total $ paid in child care or adult care by Eligible HH Member (self-certified)</t>
  </si>
  <si>
    <t>J. Monthly medical expenses: ONLY for senior or disabled member applying for CalFresh</t>
  </si>
  <si>
    <t xml:space="preserve">  Note: Cannot claim homeless shelter deduction &amp; SUA, but sometimes Homeless Shelter Deduction results in more aid. </t>
  </si>
  <si>
    <t xml:space="preserve">You must complete HH(a) - HH(b) for the rest of the calculator to work.  </t>
  </si>
  <si>
    <t xml:space="preserve">If (S) exceeds Max. 100% Net Income Limit, HH is ineligibile. </t>
  </si>
  <si>
    <t>130% FPL</t>
  </si>
  <si>
    <t>Monthly Interim Report Threshold (IRT)</t>
  </si>
  <si>
    <t>N1.   Utility Deduction  - Note: Calculator Applies "Heat &amp; Eat" Provision w/ State SUAS</t>
  </si>
  <si>
    <t xml:space="preserve">Click here for Income rules. Do not include earned income for children 18 going to school at least part-time or for ineligible students.  </t>
  </si>
  <si>
    <r>
      <t>*Note</t>
    </r>
    <r>
      <rPr>
        <sz val="12"/>
        <rFont val="Calibri"/>
        <family val="2"/>
        <scheme val="minor"/>
      </rPr>
      <t xml:space="preserve">: There are other rules and regulations to consider when determining eligiblity. </t>
    </r>
  </si>
  <si>
    <r>
      <t xml:space="preserve">HH(c): Number of these people ineligible for reasons </t>
    </r>
    <r>
      <rPr>
        <b/>
        <i/>
        <u/>
        <sz val="12"/>
        <rFont val="Calibri"/>
        <family val="2"/>
        <scheme val="minor"/>
      </rPr>
      <t>other than</t>
    </r>
    <r>
      <rPr>
        <b/>
        <sz val="12"/>
        <rFont val="Calibri"/>
        <family val="2"/>
        <scheme val="minor"/>
      </rPr>
      <t xml:space="preserve"> sanction or immigration status?</t>
    </r>
  </si>
  <si>
    <r>
      <t xml:space="preserve">           whichever </t>
    </r>
    <r>
      <rPr>
        <b/>
        <sz val="12"/>
        <rFont val="Calibri"/>
        <family val="2"/>
        <scheme val="minor"/>
      </rPr>
      <t>smaller</t>
    </r>
  </si>
  <si>
    <t xml:space="preserve">B. Amount PAID in child support by Eligible CF HH Member </t>
  </si>
  <si>
    <t xml:space="preserve">      (2) Full shelter cost difference (Q) if elderly or disabled member in CalFresh household</t>
  </si>
  <si>
    <t xml:space="preserve">III. CalFresh Allotment </t>
  </si>
  <si>
    <t>V.   Max. CalFresh Allotment for Family Size</t>
  </si>
  <si>
    <t>Max. CalFresh Allotment</t>
  </si>
  <si>
    <t>Z.   Monthly CalFresh Allotment:</t>
  </si>
  <si>
    <t>AD.   Unrounded CalFresh allotment:</t>
  </si>
  <si>
    <t xml:space="preserve">         First Month's CalFresh Allotment</t>
  </si>
  <si>
    <t xml:space="preserve">       If (U) higher than (V) - HH of 3+ not eligible for CalFresh</t>
  </si>
  <si>
    <t xml:space="preserve">W. Amount in CalFresh </t>
  </si>
  <si>
    <t>Day of the month the household applied for CalFresh:</t>
  </si>
  <si>
    <t xml:space="preserve">Interim Report Threshold </t>
  </si>
  <si>
    <t>Definition of Elderly or Disdabled Household: http://calfresh.guide/special-eligibility-rules-for-the-elderly-or-disabled/</t>
  </si>
  <si>
    <t>http://calfresh.guide/what-is-income/</t>
  </si>
  <si>
    <t>J3. Standard Medical Deduction of $120 minimally</t>
  </si>
  <si>
    <t xml:space="preserve">For more about Medical Deductions, see: http://calfresh.guide/medical-expense-deductions/ </t>
  </si>
  <si>
    <t xml:space="preserve">Every HH except those w/ elderly &amp; disabled HH &amp;  homeless </t>
  </si>
  <si>
    <t>Does the family's gross income fall under the 200% gross income test?</t>
  </si>
  <si>
    <r>
      <rPr>
        <b/>
        <i/>
        <u/>
        <sz val="12"/>
        <rFont val="Calibri"/>
        <family val="2"/>
        <scheme val="minor"/>
      </rPr>
      <t>Include</t>
    </r>
    <r>
      <rPr>
        <i/>
        <sz val="12"/>
        <rFont val="Calibri"/>
        <family val="2"/>
        <scheme val="minor"/>
      </rPr>
      <t xml:space="preserve"> people on SSI, but</t>
    </r>
    <r>
      <rPr>
        <b/>
        <i/>
        <u/>
        <sz val="12"/>
        <rFont val="Calibri"/>
        <family val="2"/>
        <scheme val="minor"/>
      </rPr>
      <t xml:space="preserve"> DO NOT Include</t>
    </r>
    <r>
      <rPr>
        <i/>
        <sz val="12"/>
        <rFont val="Calibri"/>
        <family val="2"/>
        <scheme val="minor"/>
      </rPr>
      <t xml:space="preserve"> ineligible students, sanctioned hh members, an inneligible ABAWD or any undocumented or "uncooperative members in "eat &amp; prepare together" household. </t>
    </r>
  </si>
  <si>
    <r>
      <rPr>
        <b/>
        <sz val="12"/>
        <rFont val="Calibri"/>
        <family val="2"/>
        <scheme val="minor"/>
      </rPr>
      <t>*Note:</t>
    </r>
    <r>
      <rPr>
        <sz val="12"/>
        <rFont val="Calibri"/>
        <family val="2"/>
        <scheme val="minor"/>
      </rPr>
      <t xml:space="preserve"> This calculator automatically assigns a SUA pursuant to CA's "Heat &amp; Eat" option rules &amp; standard medical deduction. </t>
    </r>
  </si>
  <si>
    <r>
      <rPr>
        <b/>
        <sz val="12"/>
        <rFont val="Calibri"/>
        <family val="2"/>
        <scheme val="minor"/>
      </rPr>
      <t>*Note:</t>
    </r>
    <r>
      <rPr>
        <sz val="12"/>
        <rFont val="Calibri"/>
        <family val="2"/>
        <scheme val="minor"/>
      </rPr>
      <t xml:space="preserve"> This calculator is valid after June of 2019, After SSI Cashout and ABAWD Time Limit Waiver expiration in some counties. </t>
    </r>
  </si>
  <si>
    <t xml:space="preserve">Do not include any income from a person inneligible due to Student Rule or ABAWD Time Limit - the whole amount is NOT listed/that person is NOT eligible. </t>
  </si>
  <si>
    <t>A2.   Gross Monthly Un-Earned Income of all Members in Household</t>
  </si>
  <si>
    <t>A1.   Gross Monthly Earned Income of all Members in Household</t>
  </si>
  <si>
    <t>Source: https://cdss.ca.gov/Portals/9/Additional-Resources/Letters-and-Notices/ACINs/2020/I-65_20.pdf</t>
  </si>
  <si>
    <t>The state guidance for this calculator can be found at: https://www.cdss.ca.gov/Portals/9/Additional-Resources/Letters-and-Notices/ACINs/2021/I-78_21.pdf</t>
  </si>
  <si>
    <t xml:space="preserve">For questions or errata, contact Lisa Newstrom, lnewstrom@baylegal.org </t>
  </si>
  <si>
    <t>The federal guidance for this calculator can be found at:https://www.fns.usda.gov/snap/fy-2022-cost-living-adjustments</t>
  </si>
  <si>
    <t>Updated: October 2022</t>
  </si>
  <si>
    <t>CalFresh Income Calculator: Valid from Oct 2022 - Sept 2023</t>
  </si>
  <si>
    <t>A1 (a). Gross Monthly Earned Income for Eligible HH Members:</t>
  </si>
  <si>
    <t>A1 (b). Gross Monthly Earned Income for Ineligible Noncitizen HH (or SSN/citizenship Un-Cooperative) Members:</t>
  </si>
  <si>
    <r>
      <rPr>
        <b/>
        <i/>
        <u/>
        <sz val="12"/>
        <rFont val="Calibri"/>
        <family val="2"/>
        <scheme val="minor"/>
      </rPr>
      <t xml:space="preserve">Include </t>
    </r>
    <r>
      <rPr>
        <i/>
        <sz val="12"/>
        <rFont val="Calibri"/>
        <family val="2"/>
        <scheme val="minor"/>
      </rPr>
      <t xml:space="preserve">people on SSI and any ineligible noncitizen or "uncooperative members in "purchase &amp; prepare together" household. DO NOT Include Inneligible Students or people inneligible due to ABAWD status. </t>
    </r>
  </si>
  <si>
    <t>A2 (a). Gross Monthly Un-Earned Income for HH Members with Eligible Immigration Status Including Income of Sanctioned Ineligible:</t>
  </si>
  <si>
    <t>A2 (b). Gross Monthly Un-Earned Income for Ineligible Noncitizen HH Members:</t>
  </si>
  <si>
    <t>M1   Housing Costs (i.e. rent, mortgage, taxes, insurance, etc.) Paid by person with eligible cit/noncit status.</t>
  </si>
  <si>
    <t>M2   Housing Costs (i.e. rent, mortgage, taxes, insurance, etc.) Paid by ineligible noncitizen person.</t>
  </si>
  <si>
    <t>Source:https://cdss.ca.gov/Portals/9/Additional-Resources/Letters-and-Notices/ACINs/2022/I-60-22.pdf</t>
  </si>
  <si>
    <t>Source: https://cdss.ca.gov/Portals/9/Additional-Resources/Letters-and-Notices/ACINs/2022/I-60-22.pdf</t>
  </si>
  <si>
    <t xml:space="preserve">      enter $23 if the Adjusted Food Income (U) is greater  </t>
  </si>
  <si>
    <t xml:space="preserve">      than the Max. CalFresh Allotment or if (V) is less than $23.00.</t>
  </si>
  <si>
    <r>
      <t>Note:</t>
    </r>
    <r>
      <rPr>
        <sz val="12"/>
        <rFont val="Calibri"/>
        <family val="2"/>
        <scheme val="minor"/>
      </rPr>
      <t xml:space="preserve"> if less meets Net Income Test, but HH size is less than 3 and (W) is less than $23, then they will receive minimum benefit of $23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</si>
</sst>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8" formatCode="&quot;$&quot;#,##0.00_);[Red]\(&quot;$&quot;#,##0.00\)"/>
    <numFmt numFmtId="44" formatCode="_(&quot;$&quot;* #,##0.00_);_(&quot;$&quot;* \(#,##0.00\);_(&quot;$&quot;* &quot;-&quot;??_);_(@_)"/>
    <numFmt numFmtId="164" formatCode="&quot;Yes&quot;;&quot;Yes&quot;;&quot;No&quot;"/>
    <numFmt numFmtId="165" formatCode="&quot;$&quot;#,##0"/>
    <numFmt numFmtId="166" formatCode="&quot;$&quot;#,##0.00"/>
  </numFmts>
  <fonts count="17" x14ac:knownFonts="1">
    <font>
      <sz val="10"/>
      <name val="Arial"/>
    </font>
    <font>
      <sz val="10"/>
      <name val="Arial"/>
      <family val="2"/>
    </font>
    <font>
      <u/>
      <sz val="10"/>
      <color indexed="12"/>
      <name val="Arial"/>
      <family val="2"/>
    </font>
    <font>
      <u/>
      <sz val="10"/>
      <color indexed="12"/>
      <name val="Arial"/>
      <family val="2"/>
    </font>
    <font>
      <sz val="8"/>
      <name val="Arial"/>
      <family val="2"/>
    </font>
    <font>
      <b/>
      <sz val="14"/>
      <name val="Calibri"/>
      <family val="2"/>
      <scheme val="minor"/>
    </font>
    <font>
      <b/>
      <sz val="12"/>
      <name val="Calibri"/>
      <family val="2"/>
      <scheme val="minor"/>
    </font>
    <font>
      <sz val="12"/>
      <name val="Calibri"/>
      <family val="2"/>
      <scheme val="minor"/>
    </font>
    <font>
      <b/>
      <sz val="12"/>
      <color rgb="FFFF0000"/>
      <name val="Calibri"/>
      <family val="2"/>
      <scheme val="minor"/>
    </font>
    <font>
      <i/>
      <sz val="12"/>
      <name val="Calibri"/>
      <family val="2"/>
      <scheme val="minor"/>
    </font>
    <font>
      <b/>
      <i/>
      <u/>
      <sz val="12"/>
      <name val="Calibri"/>
      <family val="2"/>
      <scheme val="minor"/>
    </font>
    <font>
      <u/>
      <sz val="12"/>
      <color indexed="12"/>
      <name val="Calibri"/>
      <family val="2"/>
      <scheme val="minor"/>
    </font>
    <font>
      <b/>
      <sz val="12"/>
      <color indexed="8"/>
      <name val="Calibri"/>
      <family val="2"/>
      <scheme val="minor"/>
    </font>
    <font>
      <sz val="12"/>
      <color indexed="8"/>
      <name val="Calibri"/>
      <family val="2"/>
      <scheme val="minor"/>
    </font>
    <font>
      <i/>
      <sz val="12"/>
      <color indexed="8"/>
      <name val="Calibri"/>
      <family val="2"/>
      <scheme val="minor"/>
    </font>
    <font>
      <sz val="12"/>
      <color indexed="18"/>
      <name val="Calibri"/>
      <family val="2"/>
      <scheme val="minor"/>
    </font>
    <font>
      <sz val="12"/>
      <color theme="1"/>
      <name val="Calibri"/>
      <family val="2"/>
      <scheme val="minor"/>
    </font>
  </fonts>
  <fills count="8">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48"/>
        <bgColor indexed="64"/>
      </patternFill>
    </fill>
    <fill>
      <patternFill patternType="solid">
        <fgColor rgb="FFFFFF66"/>
        <bgColor indexed="64"/>
      </patternFill>
    </fill>
    <fill>
      <patternFill patternType="solid">
        <fgColor rgb="FFFFFF00"/>
        <bgColor indexed="64"/>
      </patternFill>
    </fill>
    <fill>
      <patternFill patternType="solid">
        <fgColor theme="9" tint="0.79998168889431442"/>
        <bgColor indexed="64"/>
      </patternFill>
    </fill>
  </fills>
  <borders count="7">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23"/>
      </left>
      <right style="medium">
        <color indexed="23"/>
      </right>
      <top style="medium">
        <color indexed="23"/>
      </top>
      <bottom style="medium">
        <color indexed="23"/>
      </bottom>
      <diagonal/>
    </border>
    <border>
      <left style="medium">
        <color indexed="23"/>
      </left>
      <right/>
      <top/>
      <bottom/>
      <diagonal/>
    </border>
    <border>
      <left style="medium">
        <color indexed="23"/>
      </left>
      <right style="medium">
        <color indexed="23"/>
      </right>
      <top/>
      <bottom style="medium">
        <color indexed="23"/>
      </bottom>
      <diagonal/>
    </border>
    <border>
      <left/>
      <right/>
      <top style="thin">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1" fillId="0" borderId="0"/>
    <xf numFmtId="0" fontId="3" fillId="0" borderId="0" applyNumberFormat="0" applyFill="0" applyBorder="0" applyAlignment="0" applyProtection="0">
      <alignment vertical="top"/>
      <protection locked="0"/>
    </xf>
  </cellStyleXfs>
  <cellXfs count="73">
    <xf numFmtId="0" fontId="0" fillId="0" borderId="0" xfId="0"/>
    <xf numFmtId="0" fontId="5" fillId="0" borderId="0" xfId="0" applyFont="1" applyProtection="1"/>
    <xf numFmtId="0" fontId="6" fillId="0" borderId="0" xfId="0" applyFont="1" applyProtection="1"/>
    <xf numFmtId="0" fontId="7" fillId="0" borderId="0" xfId="0" applyFont="1" applyProtection="1"/>
    <xf numFmtId="0" fontId="6" fillId="0" borderId="0" xfId="0" applyFont="1" applyFill="1" applyProtection="1"/>
    <xf numFmtId="0" fontId="7" fillId="0" borderId="0" xfId="0" applyFont="1" applyFill="1" applyAlignment="1" applyProtection="1"/>
    <xf numFmtId="0" fontId="7" fillId="0" borderId="0" xfId="0" applyFont="1" applyFill="1" applyProtection="1"/>
    <xf numFmtId="0" fontId="8" fillId="0" borderId="0" xfId="0" applyFont="1" applyProtection="1"/>
    <xf numFmtId="0" fontId="7" fillId="0" borderId="0" xfId="0" applyFont="1" applyFill="1" applyProtection="1">
      <protection locked="0"/>
    </xf>
    <xf numFmtId="0" fontId="6" fillId="0" borderId="0" xfId="0" applyFont="1" applyAlignment="1" applyProtection="1">
      <alignment horizontal="right"/>
    </xf>
    <xf numFmtId="0" fontId="9" fillId="0" borderId="0" xfId="0" applyFont="1" applyAlignment="1" applyProtection="1">
      <alignment horizontal="left"/>
    </xf>
    <xf numFmtId="0" fontId="11" fillId="0" borderId="0" xfId="1" applyFont="1" applyAlignment="1" applyProtection="1"/>
    <xf numFmtId="164" fontId="7" fillId="0" borderId="0" xfId="0" applyNumberFormat="1" applyFont="1" applyFill="1" applyBorder="1" applyAlignment="1" applyProtection="1">
      <alignment horizontal="center"/>
      <protection locked="0"/>
    </xf>
    <xf numFmtId="6" fontId="6" fillId="0" borderId="0" xfId="0" applyNumberFormat="1" applyFont="1" applyProtection="1"/>
    <xf numFmtId="0" fontId="9" fillId="0" borderId="0" xfId="0" applyFont="1" applyProtection="1"/>
    <xf numFmtId="166" fontId="7" fillId="3" borderId="2" xfId="0" applyNumberFormat="1" applyFont="1" applyFill="1" applyBorder="1" applyProtection="1"/>
    <xf numFmtId="0" fontId="6" fillId="0" borderId="0" xfId="0" applyFont="1" applyFill="1" applyBorder="1" applyProtection="1"/>
    <xf numFmtId="0" fontId="12" fillId="0" borderId="3" xfId="0" applyFont="1" applyBorder="1" applyAlignment="1" applyProtection="1">
      <alignment horizontal="right" wrapText="1"/>
    </xf>
    <xf numFmtId="0" fontId="13" fillId="4" borderId="3" xfId="0" applyFont="1" applyFill="1" applyBorder="1" applyAlignment="1" applyProtection="1">
      <alignment horizontal="center" vertical="top" wrapText="1"/>
    </xf>
    <xf numFmtId="0" fontId="13" fillId="4" borderId="3" xfId="0" applyFont="1" applyFill="1" applyBorder="1" applyAlignment="1" applyProtection="1">
      <alignment horizontal="center" wrapText="1"/>
    </xf>
    <xf numFmtId="0" fontId="6" fillId="0" borderId="3" xfId="0" applyFont="1" applyBorder="1" applyAlignment="1" applyProtection="1">
      <alignment horizontal="right"/>
    </xf>
    <xf numFmtId="165" fontId="13" fillId="3" borderId="3" xfId="0" applyNumberFormat="1" applyFont="1" applyFill="1" applyBorder="1" applyAlignment="1" applyProtection="1">
      <alignment vertical="top" wrapText="1"/>
    </xf>
    <xf numFmtId="165" fontId="7" fillId="3" borderId="3" xfId="0" applyNumberFormat="1" applyFont="1" applyFill="1" applyBorder="1" applyProtection="1"/>
    <xf numFmtId="0" fontId="6" fillId="2" borderId="0" xfId="0" applyFont="1" applyFill="1" applyAlignment="1" applyProtection="1">
      <alignment horizontal="right"/>
    </xf>
    <xf numFmtId="0" fontId="6" fillId="2" borderId="0" xfId="0" applyFont="1" applyFill="1" applyAlignment="1" applyProtection="1">
      <alignment horizontal="center"/>
    </xf>
    <xf numFmtId="0" fontId="9" fillId="2" borderId="0" xfId="0" applyFont="1" applyFill="1" applyAlignment="1" applyProtection="1">
      <alignment horizontal="left"/>
    </xf>
    <xf numFmtId="0" fontId="6" fillId="2" borderId="0" xfId="0" applyFont="1" applyFill="1" applyProtection="1"/>
    <xf numFmtId="0" fontId="6" fillId="5" borderId="0" xfId="0" applyFont="1" applyFill="1" applyProtection="1"/>
    <xf numFmtId="0" fontId="7" fillId="0" borderId="0" xfId="0" applyFont="1" applyBorder="1" applyProtection="1"/>
    <xf numFmtId="3" fontId="13" fillId="0" borderId="0" xfId="0" applyNumberFormat="1" applyFont="1" applyBorder="1" applyAlignment="1" applyProtection="1">
      <alignment vertical="top" wrapText="1"/>
    </xf>
    <xf numFmtId="3" fontId="7" fillId="0" borderId="0" xfId="0" applyNumberFormat="1" applyFont="1" applyBorder="1" applyProtection="1"/>
    <xf numFmtId="0" fontId="7" fillId="0" borderId="0" xfId="0" applyFont="1" applyAlignment="1" applyProtection="1">
      <alignment horizontal="right"/>
    </xf>
    <xf numFmtId="16" fontId="13" fillId="4" borderId="3" xfId="0" applyNumberFormat="1" applyFont="1" applyFill="1" applyBorder="1" applyAlignment="1" applyProtection="1">
      <alignment horizontal="center" vertical="top" wrapText="1"/>
    </xf>
    <xf numFmtId="0" fontId="7" fillId="4" borderId="3" xfId="0" applyFont="1" applyFill="1" applyBorder="1" applyAlignment="1" applyProtection="1">
      <alignment horizontal="center"/>
    </xf>
    <xf numFmtId="165" fontId="7" fillId="3" borderId="5" xfId="0" applyNumberFormat="1" applyFont="1" applyFill="1" applyBorder="1" applyProtection="1"/>
    <xf numFmtId="165" fontId="7" fillId="0" borderId="0" xfId="0" applyNumberFormat="1" applyFont="1" applyFill="1" applyAlignment="1" applyProtection="1">
      <alignment horizontal="center"/>
    </xf>
    <xf numFmtId="0" fontId="7" fillId="0" borderId="0" xfId="0" applyFont="1" applyAlignment="1" applyProtection="1">
      <alignment horizontal="left"/>
    </xf>
    <xf numFmtId="165" fontId="7" fillId="0" borderId="0" xfId="0" applyNumberFormat="1" applyFont="1" applyProtection="1"/>
    <xf numFmtId="0" fontId="7" fillId="0" borderId="0" xfId="0" applyFont="1" applyFill="1" applyBorder="1" applyProtection="1"/>
    <xf numFmtId="165" fontId="7" fillId="3" borderId="0" xfId="0" applyNumberFormat="1" applyFont="1" applyFill="1" applyAlignment="1" applyProtection="1">
      <alignment horizontal="center"/>
    </xf>
    <xf numFmtId="0" fontId="13" fillId="0" borderId="0" xfId="0" applyFont="1" applyProtection="1"/>
    <xf numFmtId="0" fontId="12" fillId="0" borderId="3" xfId="0" applyFont="1" applyBorder="1" applyAlignment="1" applyProtection="1">
      <alignment horizontal="right" vertical="top" wrapText="1"/>
    </xf>
    <xf numFmtId="0" fontId="7" fillId="0" borderId="0" xfId="0" applyFont="1" applyAlignment="1" applyProtection="1">
      <alignment vertical="top"/>
    </xf>
    <xf numFmtId="0" fontId="15" fillId="0" borderId="0" xfId="0" applyFont="1" applyProtection="1"/>
    <xf numFmtId="0" fontId="7" fillId="2" borderId="0" xfId="0" applyFont="1" applyFill="1" applyProtection="1"/>
    <xf numFmtId="166" fontId="7" fillId="2" borderId="1" xfId="0" applyNumberFormat="1" applyFont="1" applyFill="1" applyBorder="1" applyProtection="1"/>
    <xf numFmtId="0" fontId="12" fillId="0" borderId="0" xfId="0" applyFont="1" applyProtection="1"/>
    <xf numFmtId="0" fontId="7" fillId="3" borderId="2" xfId="0" applyFont="1" applyFill="1" applyBorder="1" applyProtection="1"/>
    <xf numFmtId="0" fontId="7" fillId="3" borderId="2" xfId="0" applyNumberFormat="1" applyFont="1" applyFill="1" applyBorder="1" applyProtection="1"/>
    <xf numFmtId="166" fontId="7" fillId="0" borderId="0" xfId="0" applyNumberFormat="1" applyFont="1" applyProtection="1"/>
    <xf numFmtId="0" fontId="13" fillId="2" borderId="0" xfId="0" applyFont="1" applyFill="1" applyProtection="1"/>
    <xf numFmtId="0" fontId="6" fillId="2" borderId="0" xfId="0" applyFont="1" applyFill="1" applyAlignment="1" applyProtection="1">
      <alignment horizontal="left" indent="3"/>
    </xf>
    <xf numFmtId="0" fontId="6" fillId="0" borderId="0" xfId="0" applyFont="1" applyFill="1" applyAlignment="1" applyProtection="1">
      <alignment horizontal="left" indent="3"/>
    </xf>
    <xf numFmtId="166" fontId="7" fillId="0" borderId="0" xfId="0" applyNumberFormat="1" applyFont="1" applyFill="1" applyBorder="1" applyProtection="1"/>
    <xf numFmtId="0" fontId="13" fillId="0" borderId="0" xfId="0" applyFont="1" applyFill="1" applyProtection="1"/>
    <xf numFmtId="0" fontId="16" fillId="0" borderId="0" xfId="1" applyFont="1" applyAlignment="1" applyProtection="1"/>
    <xf numFmtId="8" fontId="7" fillId="3" borderId="0" xfId="0" applyNumberFormat="1" applyFont="1" applyFill="1" applyAlignment="1" applyProtection="1">
      <alignment horizontal="center"/>
    </xf>
    <xf numFmtId="0" fontId="12" fillId="6" borderId="3" xfId="0" applyFont="1" applyFill="1" applyBorder="1" applyAlignment="1" applyProtection="1">
      <alignment horizontal="right" wrapText="1"/>
    </xf>
    <xf numFmtId="0" fontId="7" fillId="0" borderId="0" xfId="0" applyFont="1" applyAlignment="1" applyProtection="1">
      <alignment wrapText="1"/>
    </xf>
    <xf numFmtId="0" fontId="6" fillId="0" borderId="0" xfId="0" applyFont="1" applyAlignment="1" applyProtection="1">
      <alignment horizontal="left"/>
    </xf>
    <xf numFmtId="0" fontId="7" fillId="0" borderId="1" xfId="0" applyFont="1" applyFill="1" applyBorder="1" applyAlignment="1" applyProtection="1">
      <alignment horizontal="center"/>
    </xf>
    <xf numFmtId="0" fontId="7" fillId="0" borderId="0" xfId="0" applyFont="1" applyFill="1" applyBorder="1" applyAlignment="1" applyProtection="1">
      <alignment horizontal="center"/>
    </xf>
    <xf numFmtId="0" fontId="7" fillId="7" borderId="1" xfId="0" applyFont="1" applyFill="1" applyBorder="1" applyAlignment="1" applyProtection="1">
      <alignment horizontal="center"/>
      <protection locked="0"/>
    </xf>
    <xf numFmtId="0" fontId="7" fillId="7" borderId="6" xfId="0" applyFont="1" applyFill="1" applyBorder="1" applyAlignment="1" applyProtection="1">
      <alignment horizontal="center"/>
      <protection locked="0"/>
    </xf>
    <xf numFmtId="164" fontId="7" fillId="7" borderId="1" xfId="0" applyNumberFormat="1" applyFont="1" applyFill="1" applyBorder="1" applyAlignment="1" applyProtection="1">
      <alignment horizontal="center"/>
      <protection locked="0"/>
    </xf>
    <xf numFmtId="44" fontId="7" fillId="7" borderId="1" xfId="0" applyNumberFormat="1" applyFont="1" applyFill="1" applyBorder="1" applyAlignment="1" applyProtection="1">
      <alignment horizontal="center"/>
      <protection locked="0"/>
    </xf>
    <xf numFmtId="44" fontId="7" fillId="7" borderId="1" xfId="0" applyNumberFormat="1" applyFont="1" applyFill="1" applyBorder="1" applyProtection="1">
      <protection locked="0"/>
    </xf>
    <xf numFmtId="166" fontId="7" fillId="7" borderId="1" xfId="0" applyNumberFormat="1" applyFont="1" applyFill="1" applyBorder="1" applyProtection="1">
      <protection locked="0"/>
    </xf>
    <xf numFmtId="0" fontId="7" fillId="7" borderId="1" xfId="0" applyFont="1" applyFill="1" applyBorder="1" applyProtection="1">
      <protection locked="0"/>
    </xf>
    <xf numFmtId="0" fontId="14" fillId="0" borderId="4" xfId="0" applyFont="1" applyBorder="1" applyAlignment="1" applyProtection="1">
      <alignment horizontal="right" vertical="top"/>
    </xf>
    <xf numFmtId="0" fontId="14" fillId="0" borderId="0" xfId="0" applyFont="1" applyBorder="1" applyAlignment="1" applyProtection="1">
      <alignment horizontal="right" vertical="top"/>
    </xf>
    <xf numFmtId="165" fontId="13" fillId="3" borderId="4" xfId="0" applyNumberFormat="1" applyFont="1" applyFill="1" applyBorder="1" applyAlignment="1" applyProtection="1">
      <alignment horizontal="center" vertical="top" wrapText="1"/>
    </xf>
    <xf numFmtId="165" fontId="13" fillId="3" borderId="0" xfId="0" applyNumberFormat="1" applyFont="1" applyFill="1" applyBorder="1" applyAlignment="1" applyProtection="1">
      <alignment horizontal="center" vertical="top" wrapText="1"/>
    </xf>
  </cellXfs>
  <cellStyles count="4">
    <cellStyle name="Hyperlink" xfId="1" builtinId="8"/>
    <cellStyle name="Hyperlink 2" xfId="3"/>
    <cellStyle name="Normal" xfId="0" builtinId="0"/>
    <cellStyle name="Normal 2" xfId="2"/>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3"/>
  <sheetViews>
    <sheetView tabSelected="1" workbookViewId="0">
      <selection activeCell="B54" sqref="B54"/>
    </sheetView>
  </sheetViews>
  <sheetFormatPr defaultColWidth="9.1796875" defaultRowHeight="15.5" x14ac:dyDescent="0.35"/>
  <cols>
    <col min="1" max="1" width="108.81640625" style="3" customWidth="1"/>
    <col min="2" max="2" width="11.54296875" style="3" bestFit="1" customWidth="1"/>
    <col min="3" max="3" width="9.1796875" style="3"/>
    <col min="4" max="4" width="27.1796875" style="3" customWidth="1"/>
    <col min="5" max="5" width="10.453125" style="3" customWidth="1"/>
    <col min="6" max="6" width="19.453125" style="3" customWidth="1"/>
    <col min="7" max="12" width="10.453125" style="3" customWidth="1"/>
    <col min="13" max="13" width="10" style="3" customWidth="1"/>
    <col min="14" max="15" width="9.1796875" style="3"/>
    <col min="16" max="16" width="16" style="3" customWidth="1"/>
    <col min="17" max="17" width="9.1796875" style="3"/>
    <col min="18" max="18" width="9" style="3" customWidth="1"/>
    <col min="19" max="22" width="9.1796875" style="3"/>
    <col min="23" max="23" width="11.81640625" style="3" customWidth="1"/>
    <col min="24" max="16384" width="9.1796875" style="3"/>
  </cols>
  <sheetData>
    <row r="1" spans="1:23" ht="18.5" x14ac:dyDescent="0.45">
      <c r="A1" s="1" t="s">
        <v>144</v>
      </c>
      <c r="D1" s="4" t="s">
        <v>112</v>
      </c>
      <c r="E1" s="5"/>
      <c r="F1" s="5"/>
      <c r="G1" s="5"/>
      <c r="H1" s="5"/>
      <c r="I1" s="5"/>
      <c r="J1" s="6"/>
      <c r="K1" s="6"/>
    </row>
    <row r="2" spans="1:23" ht="17.25" customHeight="1" x14ac:dyDescent="0.35">
      <c r="D2" s="6" t="s">
        <v>134</v>
      </c>
      <c r="E2" s="5"/>
      <c r="F2" s="5"/>
      <c r="G2" s="5"/>
      <c r="H2" s="5"/>
      <c r="I2" s="5"/>
      <c r="J2" s="6"/>
      <c r="K2" s="6"/>
    </row>
    <row r="3" spans="1:23" x14ac:dyDescent="0.35">
      <c r="A3" s="2" t="s">
        <v>22</v>
      </c>
      <c r="D3" s="3" t="s">
        <v>135</v>
      </c>
    </row>
    <row r="4" spans="1:23" ht="22.5" customHeight="1" x14ac:dyDescent="0.35">
      <c r="A4" s="7" t="s">
        <v>106</v>
      </c>
    </row>
    <row r="5" spans="1:23" s="2" customFormat="1" x14ac:dyDescent="0.35">
      <c r="A5" s="59" t="s">
        <v>98</v>
      </c>
      <c r="B5" s="62"/>
      <c r="D5" s="14" t="s">
        <v>147</v>
      </c>
    </row>
    <row r="6" spans="1:23" s="2" customFormat="1" x14ac:dyDescent="0.35">
      <c r="A6" s="59" t="s">
        <v>99</v>
      </c>
      <c r="B6" s="62"/>
      <c r="D6" s="14" t="s">
        <v>133</v>
      </c>
      <c r="G6" s="11"/>
    </row>
    <row r="7" spans="1:23" s="2" customFormat="1" x14ac:dyDescent="0.35">
      <c r="A7" s="59" t="s">
        <v>113</v>
      </c>
      <c r="B7" s="63"/>
      <c r="D7" s="14" t="s">
        <v>97</v>
      </c>
      <c r="G7" s="11"/>
    </row>
    <row r="8" spans="1:23" x14ac:dyDescent="0.35">
      <c r="B8" s="8"/>
    </row>
    <row r="9" spans="1:23" s="2" customFormat="1" x14ac:dyDescent="0.35">
      <c r="A9" s="9" t="s">
        <v>36</v>
      </c>
      <c r="B9" s="64"/>
      <c r="C9" s="10" t="s">
        <v>37</v>
      </c>
      <c r="D9" s="55" t="s">
        <v>127</v>
      </c>
    </row>
    <row r="10" spans="1:23" s="2" customFormat="1" x14ac:dyDescent="0.35">
      <c r="A10" s="9"/>
      <c r="B10" s="12"/>
      <c r="C10" s="10"/>
    </row>
    <row r="11" spans="1:23" s="2" customFormat="1" x14ac:dyDescent="0.35">
      <c r="A11" s="9"/>
      <c r="B11" s="12"/>
      <c r="C11" s="10"/>
      <c r="O11" s="13"/>
      <c r="P11" s="13"/>
      <c r="Q11" s="13"/>
      <c r="R11" s="13"/>
      <c r="S11" s="13"/>
      <c r="T11" s="13"/>
      <c r="U11" s="13"/>
      <c r="V11" s="13"/>
      <c r="W11" s="13"/>
    </row>
    <row r="12" spans="1:23" x14ac:dyDescent="0.35">
      <c r="A12" s="3" t="s">
        <v>145</v>
      </c>
      <c r="B12" s="65"/>
      <c r="D12" s="55" t="s">
        <v>111</v>
      </c>
    </row>
    <row r="13" spans="1:23" ht="16" thickBot="1" x14ac:dyDescent="0.4">
      <c r="A13" s="3" t="s">
        <v>146</v>
      </c>
      <c r="B13" s="65"/>
      <c r="D13" s="3" t="s">
        <v>128</v>
      </c>
      <c r="E13" s="11"/>
    </row>
    <row r="14" spans="1:23" ht="16" thickBot="1" x14ac:dyDescent="0.4">
      <c r="A14" s="2" t="s">
        <v>138</v>
      </c>
      <c r="B14" s="15" t="e">
        <f>B12+(B13*(B6/B5))</f>
        <v>#DIV/0!</v>
      </c>
      <c r="C14" s="3" t="s">
        <v>69</v>
      </c>
    </row>
    <row r="16" spans="1:23" ht="31" x14ac:dyDescent="0.35">
      <c r="A16" s="58" t="s">
        <v>148</v>
      </c>
      <c r="B16" s="65"/>
      <c r="D16" s="3" t="s">
        <v>136</v>
      </c>
    </row>
    <row r="17" spans="1:21" ht="16" thickBot="1" x14ac:dyDescent="0.4">
      <c r="A17" s="3" t="s">
        <v>149</v>
      </c>
      <c r="B17" s="65"/>
    </row>
    <row r="18" spans="1:21" ht="16" thickBot="1" x14ac:dyDescent="0.4">
      <c r="A18" s="2" t="s">
        <v>137</v>
      </c>
      <c r="B18" s="15" t="e">
        <f>B16+(B17*(B6/B5))</f>
        <v>#DIV/0!</v>
      </c>
      <c r="C18" s="3" t="s">
        <v>70</v>
      </c>
      <c r="D18" s="14"/>
    </row>
    <row r="19" spans="1:21" x14ac:dyDescent="0.35">
      <c r="B19" s="61"/>
    </row>
    <row r="20" spans="1:21" ht="16" thickBot="1" x14ac:dyDescent="0.4">
      <c r="A20" s="16" t="s">
        <v>115</v>
      </c>
      <c r="B20" s="65">
        <v>0</v>
      </c>
      <c r="C20" s="3" t="s">
        <v>68</v>
      </c>
      <c r="D20" s="2" t="s">
        <v>100</v>
      </c>
      <c r="E20" s="3" t="s">
        <v>153</v>
      </c>
    </row>
    <row r="21" spans="1:21" ht="16" thickBot="1" x14ac:dyDescent="0.4">
      <c r="D21" s="17" t="s">
        <v>27</v>
      </c>
      <c r="E21" s="18">
        <v>1</v>
      </c>
      <c r="F21" s="18">
        <v>2</v>
      </c>
      <c r="G21" s="18">
        <v>3</v>
      </c>
      <c r="H21" s="19">
        <v>4</v>
      </c>
      <c r="I21" s="18">
        <v>5</v>
      </c>
      <c r="J21" s="18">
        <v>6</v>
      </c>
      <c r="K21" s="18">
        <v>7</v>
      </c>
      <c r="L21" s="19">
        <v>8</v>
      </c>
      <c r="M21" s="69" t="s">
        <v>34</v>
      </c>
      <c r="N21" s="70"/>
      <c r="O21" s="70"/>
      <c r="P21" s="70"/>
    </row>
    <row r="22" spans="1:21" ht="16" thickBot="1" x14ac:dyDescent="0.4">
      <c r="A22" s="2" t="s">
        <v>90</v>
      </c>
      <c r="B22" s="15" t="e">
        <f>((B14+B18)-B20)</f>
        <v>#DIV/0!</v>
      </c>
      <c r="C22" s="3" t="s">
        <v>0</v>
      </c>
      <c r="D22" s="20" t="s">
        <v>39</v>
      </c>
      <c r="E22" s="21">
        <f t="shared" ref="E22:L22" si="0">E81*2</f>
        <v>2266</v>
      </c>
      <c r="F22" s="21">
        <f t="shared" si="0"/>
        <v>3052</v>
      </c>
      <c r="G22" s="21">
        <f t="shared" si="0"/>
        <v>3840</v>
      </c>
      <c r="H22" s="22">
        <f t="shared" si="0"/>
        <v>4626</v>
      </c>
      <c r="I22" s="21">
        <f t="shared" si="0"/>
        <v>5412</v>
      </c>
      <c r="J22" s="21">
        <f t="shared" si="0"/>
        <v>6200</v>
      </c>
      <c r="K22" s="21">
        <f t="shared" si="0"/>
        <v>6986</v>
      </c>
      <c r="L22" s="22">
        <f t="shared" si="0"/>
        <v>7772</v>
      </c>
      <c r="M22" s="71">
        <v>758</v>
      </c>
      <c r="N22" s="72"/>
      <c r="O22" s="72"/>
      <c r="P22" s="72"/>
    </row>
    <row r="24" spans="1:21" s="4" customFormat="1" x14ac:dyDescent="0.35">
      <c r="A24" s="23" t="s">
        <v>132</v>
      </c>
      <c r="B24" s="24" t="e">
        <f>IF(OR(AND(B22&lt;=E22,B6=E21),AND(B22&lt;=F22,B6=F21),AND(B22&lt;=G22,B6=G21),AND(B22&lt;=H22,B6=H21),AND(B22&lt;=I22,B6=I21),AND(B22&lt;=J22,B6=J21),AND(B22&lt;=K22,B6=K21),AND(B22&lt;=L22,B6=L21),AND(B22&lt;=(L22+((B6-L21)*M22)),B6&gt;L21)),"YES",IF(OR(B9="Yes",B9="Y"),"YES","NO"))</f>
        <v>#DIV/0!</v>
      </c>
      <c r="C24" s="25"/>
      <c r="D24" s="26" t="s">
        <v>101</v>
      </c>
      <c r="E24" s="26"/>
      <c r="F24" s="26"/>
      <c r="G24" s="26"/>
      <c r="H24" s="26"/>
      <c r="I24" s="26"/>
      <c r="J24" s="26"/>
      <c r="K24" s="26"/>
      <c r="L24" s="26"/>
      <c r="M24" s="27"/>
      <c r="N24" s="27"/>
      <c r="O24" s="27"/>
      <c r="P24" s="27"/>
      <c r="Q24" s="27"/>
      <c r="R24" s="27"/>
      <c r="S24" s="27"/>
      <c r="T24" s="27"/>
      <c r="U24" s="27"/>
    </row>
    <row r="25" spans="1:21" x14ac:dyDescent="0.35">
      <c r="B25" s="6"/>
      <c r="D25" s="28"/>
      <c r="E25" s="29"/>
      <c r="F25" s="29"/>
      <c r="G25" s="29"/>
      <c r="H25" s="30"/>
      <c r="I25" s="29"/>
      <c r="J25" s="29"/>
      <c r="K25" s="29"/>
      <c r="L25" s="30"/>
      <c r="M25" s="29"/>
    </row>
    <row r="26" spans="1:21" x14ac:dyDescent="0.35">
      <c r="A26" s="2" t="s">
        <v>23</v>
      </c>
    </row>
    <row r="27" spans="1:21" x14ac:dyDescent="0.35">
      <c r="A27" s="9"/>
    </row>
    <row r="28" spans="1:21" ht="16" thickBot="1" x14ac:dyDescent="0.4">
      <c r="A28" s="31"/>
    </row>
    <row r="29" spans="1:21" ht="16" thickBot="1" x14ac:dyDescent="0.4">
      <c r="A29" s="3" t="s">
        <v>94</v>
      </c>
      <c r="B29" s="15" t="e">
        <f>B14</f>
        <v>#DIV/0!</v>
      </c>
      <c r="C29" s="3" t="s">
        <v>4</v>
      </c>
    </row>
    <row r="30" spans="1:21" ht="16" thickBot="1" x14ac:dyDescent="0.4"/>
    <row r="31" spans="1:21" ht="16" thickBot="1" x14ac:dyDescent="0.4">
      <c r="A31" s="3" t="s">
        <v>89</v>
      </c>
      <c r="B31" s="15" t="e">
        <f>B29*0.2</f>
        <v>#DIV/0!</v>
      </c>
      <c r="C31" s="3" t="s">
        <v>3</v>
      </c>
    </row>
    <row r="32" spans="1:21" ht="16" thickBot="1" x14ac:dyDescent="0.4"/>
    <row r="33" spans="1:10" ht="16" thickBot="1" x14ac:dyDescent="0.4">
      <c r="A33" s="3" t="s">
        <v>71</v>
      </c>
      <c r="B33" s="15" t="e">
        <f>B29-B31</f>
        <v>#DIV/0!</v>
      </c>
      <c r="C33" s="3" t="s">
        <v>2</v>
      </c>
    </row>
    <row r="34" spans="1:10" ht="16" thickBot="1" x14ac:dyDescent="0.4"/>
    <row r="35" spans="1:10" ht="16" thickBot="1" x14ac:dyDescent="0.4">
      <c r="A35" s="3" t="s">
        <v>73</v>
      </c>
      <c r="B35" s="15" t="e">
        <f>(B18+B33)-B20</f>
        <v>#DIV/0!</v>
      </c>
      <c r="C35" s="3" t="s">
        <v>1</v>
      </c>
      <c r="E35" s="3" t="s">
        <v>153</v>
      </c>
    </row>
    <row r="36" spans="1:10" ht="16" thickBot="1" x14ac:dyDescent="0.4">
      <c r="D36" s="17" t="s">
        <v>28</v>
      </c>
      <c r="E36" s="32" t="s">
        <v>29</v>
      </c>
      <c r="F36" s="18">
        <v>4</v>
      </c>
      <c r="G36" s="18">
        <v>5</v>
      </c>
      <c r="H36" s="33" t="s">
        <v>31</v>
      </c>
    </row>
    <row r="37" spans="1:10" ht="16" thickBot="1" x14ac:dyDescent="0.4">
      <c r="A37" s="3" t="s">
        <v>35</v>
      </c>
      <c r="B37" s="15">
        <f>IF(AND(B6&gt;0,B6&lt;F36),E37,IF(B6=F36,F37,IF(B6=G36,G37,IF(B6&gt;G36,H37,0))))</f>
        <v>0</v>
      </c>
      <c r="C37" s="3" t="s">
        <v>5</v>
      </c>
      <c r="D37" s="20" t="s">
        <v>38</v>
      </c>
      <c r="E37" s="21">
        <v>193</v>
      </c>
      <c r="F37" s="21">
        <v>193</v>
      </c>
      <c r="G37" s="21">
        <v>225</v>
      </c>
      <c r="H37" s="34">
        <v>258</v>
      </c>
    </row>
    <row r="38" spans="1:10" x14ac:dyDescent="0.35">
      <c r="D38" s="31"/>
      <c r="E38" s="35"/>
    </row>
    <row r="39" spans="1:10" x14ac:dyDescent="0.35">
      <c r="A39" s="3" t="s">
        <v>103</v>
      </c>
      <c r="B39" s="66">
        <v>0</v>
      </c>
      <c r="C39" s="3" t="s">
        <v>32</v>
      </c>
      <c r="D39" s="36" t="s">
        <v>91</v>
      </c>
      <c r="J39" s="11"/>
    </row>
    <row r="40" spans="1:10" x14ac:dyDescent="0.35">
      <c r="B40" s="6"/>
      <c r="E40" s="37"/>
    </row>
    <row r="41" spans="1:10" x14ac:dyDescent="0.35">
      <c r="A41" s="36" t="s">
        <v>104</v>
      </c>
      <c r="B41" s="67">
        <v>0</v>
      </c>
      <c r="D41" s="3" t="s">
        <v>102</v>
      </c>
      <c r="E41" s="37"/>
    </row>
    <row r="42" spans="1:10" ht="16" thickBot="1" x14ac:dyDescent="0.4">
      <c r="E42" s="37"/>
    </row>
    <row r="43" spans="1:10" ht="16" thickBot="1" x14ac:dyDescent="0.4">
      <c r="A43" s="36" t="s">
        <v>87</v>
      </c>
      <c r="B43" s="15">
        <f>IF(AND(OR(B9="Yes",B9="Y"),B41&gt;35),B41-35,0)</f>
        <v>0</v>
      </c>
      <c r="D43" s="31"/>
      <c r="E43" s="35"/>
    </row>
    <row r="44" spans="1:10" ht="16" thickBot="1" x14ac:dyDescent="0.4">
      <c r="A44" s="3" t="s">
        <v>129</v>
      </c>
      <c r="B44" s="15">
        <f>IF(AND(OR(B9="Yes",B9="Y"),B41&gt;155.001),B41-35,IF(AND(OR(B9="Yes",B9="Y"),B41&gt;35.001),120,0))</f>
        <v>0</v>
      </c>
      <c r="C44" s="3" t="s">
        <v>33</v>
      </c>
      <c r="D44" s="3" t="s">
        <v>130</v>
      </c>
    </row>
    <row r="45" spans="1:10" ht="31.5" customHeight="1" x14ac:dyDescent="0.35">
      <c r="A45" s="9" t="s">
        <v>66</v>
      </c>
      <c r="B45" s="62"/>
      <c r="C45" s="10" t="s">
        <v>37</v>
      </c>
      <c r="D45" s="36" t="s">
        <v>77</v>
      </c>
    </row>
    <row r="46" spans="1:10" ht="16" thickBot="1" x14ac:dyDescent="0.4"/>
    <row r="47" spans="1:10" ht="16" thickBot="1" x14ac:dyDescent="0.4">
      <c r="A47" s="3" t="s">
        <v>78</v>
      </c>
      <c r="B47" s="15">
        <f>IF(OR(B45="Yes",B45="Y"),E47,0)</f>
        <v>0</v>
      </c>
      <c r="C47" s="3" t="s">
        <v>6</v>
      </c>
      <c r="D47" s="31" t="s">
        <v>48</v>
      </c>
      <c r="E47" s="56">
        <v>159.72999999999999</v>
      </c>
      <c r="F47" s="3" t="s">
        <v>105</v>
      </c>
    </row>
    <row r="48" spans="1:10" ht="16" thickBot="1" x14ac:dyDescent="0.4"/>
    <row r="49" spans="1:6" ht="16" thickBot="1" x14ac:dyDescent="0.4">
      <c r="A49" s="3" t="s">
        <v>72</v>
      </c>
      <c r="B49" s="15" t="e">
        <f>B35-B37-B39-B44-B47</f>
        <v>#DIV/0!</v>
      </c>
      <c r="C49" s="3" t="s">
        <v>21</v>
      </c>
      <c r="F49" s="11"/>
    </row>
    <row r="51" spans="1:6" x14ac:dyDescent="0.35">
      <c r="A51" s="2" t="s">
        <v>76</v>
      </c>
      <c r="B51" s="6"/>
      <c r="F51" s="11"/>
    </row>
    <row r="52" spans="1:6" x14ac:dyDescent="0.35">
      <c r="B52" s="38"/>
    </row>
    <row r="53" spans="1:6" x14ac:dyDescent="0.35">
      <c r="A53" s="3" t="s">
        <v>150</v>
      </c>
      <c r="B53" s="66">
        <v>0</v>
      </c>
      <c r="C53" s="3" t="s">
        <v>74</v>
      </c>
      <c r="D53" s="14" t="s">
        <v>131</v>
      </c>
    </row>
    <row r="54" spans="1:6" ht="16" thickBot="1" x14ac:dyDescent="0.4">
      <c r="A54" s="3" t="s">
        <v>151</v>
      </c>
      <c r="B54" s="66">
        <v>0</v>
      </c>
      <c r="C54" s="3" t="s">
        <v>75</v>
      </c>
    </row>
    <row r="55" spans="1:6" ht="16" thickBot="1" x14ac:dyDescent="0.4">
      <c r="A55" s="3" t="s">
        <v>84</v>
      </c>
      <c r="B55" s="15" t="e">
        <f>B53*(B6)/(B6+B7)+B54*B6/(B5+B7)</f>
        <v>#DIV/0!</v>
      </c>
      <c r="C55" s="3" t="s">
        <v>85</v>
      </c>
    </row>
    <row r="56" spans="1:6" x14ac:dyDescent="0.35">
      <c r="B56" s="53"/>
    </row>
    <row r="57" spans="1:6" x14ac:dyDescent="0.35">
      <c r="A57" s="2" t="s">
        <v>110</v>
      </c>
      <c r="B57" s="53"/>
    </row>
    <row r="58" spans="1:6" hidden="1" x14ac:dyDescent="0.35">
      <c r="B58" s="53"/>
    </row>
    <row r="59" spans="1:6" hidden="1" x14ac:dyDescent="0.35">
      <c r="A59" s="3" t="s">
        <v>95</v>
      </c>
      <c r="B59" s="53"/>
    </row>
    <row r="60" spans="1:6" hidden="1" x14ac:dyDescent="0.35">
      <c r="B60" s="53"/>
    </row>
    <row r="61" spans="1:6" hidden="1" x14ac:dyDescent="0.35">
      <c r="A61" s="9" t="s">
        <v>46</v>
      </c>
      <c r="B61" s="60"/>
      <c r="C61" s="10" t="s">
        <v>37</v>
      </c>
      <c r="D61" s="3" t="s">
        <v>82</v>
      </c>
    </row>
    <row r="62" spans="1:6" hidden="1" x14ac:dyDescent="0.35">
      <c r="B62" s="53"/>
      <c r="F62" s="11"/>
    </row>
    <row r="63" spans="1:6" hidden="1" x14ac:dyDescent="0.35">
      <c r="A63" s="9" t="s">
        <v>81</v>
      </c>
      <c r="B63" s="60"/>
      <c r="C63" s="10" t="s">
        <v>37</v>
      </c>
      <c r="D63" s="3" t="s">
        <v>83</v>
      </c>
    </row>
    <row r="64" spans="1:6" hidden="1" x14ac:dyDescent="0.35">
      <c r="A64" s="31"/>
      <c r="B64" s="53"/>
    </row>
    <row r="65" spans="1:16" hidden="1" x14ac:dyDescent="0.35">
      <c r="A65" s="9" t="s">
        <v>80</v>
      </c>
      <c r="B65" s="60"/>
      <c r="C65" s="10" t="s">
        <v>37</v>
      </c>
      <c r="F65" s="11"/>
    </row>
    <row r="66" spans="1:16" ht="16" thickBot="1" x14ac:dyDescent="0.4">
      <c r="A66" s="9" t="s">
        <v>92</v>
      </c>
      <c r="B66" s="61"/>
      <c r="C66" s="10"/>
      <c r="F66" s="11"/>
    </row>
    <row r="67" spans="1:16" ht="16" thickBot="1" x14ac:dyDescent="0.4">
      <c r="A67" s="3" t="s">
        <v>96</v>
      </c>
      <c r="B67" s="15">
        <f>E70</f>
        <v>560</v>
      </c>
      <c r="C67" s="3" t="s">
        <v>7</v>
      </c>
    </row>
    <row r="68" spans="1:16" ht="16" thickBot="1" x14ac:dyDescent="0.4">
      <c r="E68" s="3" t="s">
        <v>152</v>
      </c>
    </row>
    <row r="69" spans="1:16" ht="16" thickBot="1" x14ac:dyDescent="0.4">
      <c r="A69" s="3" t="s">
        <v>86</v>
      </c>
      <c r="B69" s="15" t="e">
        <f>B55+B67</f>
        <v>#DIV/0!</v>
      </c>
      <c r="C69" s="3" t="s">
        <v>8</v>
      </c>
      <c r="D69" s="57" t="s">
        <v>44</v>
      </c>
      <c r="E69" s="32" t="s">
        <v>41</v>
      </c>
      <c r="F69" s="32" t="s">
        <v>42</v>
      </c>
      <c r="G69" s="32" t="s">
        <v>43</v>
      </c>
    </row>
    <row r="70" spans="1:16" ht="16" thickBot="1" x14ac:dyDescent="0.4">
      <c r="A70" s="38"/>
      <c r="D70" s="57" t="s">
        <v>45</v>
      </c>
      <c r="E70" s="21">
        <v>560</v>
      </c>
      <c r="F70" s="21">
        <v>150</v>
      </c>
      <c r="G70" s="21">
        <v>18</v>
      </c>
    </row>
    <row r="71" spans="1:16" ht="16" thickBot="1" x14ac:dyDescent="0.4">
      <c r="A71" s="3" t="s">
        <v>49</v>
      </c>
      <c r="B71" s="15" t="e">
        <f>0.5*B49</f>
        <v>#DIV/0!</v>
      </c>
      <c r="C71" s="3" t="s">
        <v>9</v>
      </c>
    </row>
    <row r="72" spans="1:16" ht="16" thickBot="1" x14ac:dyDescent="0.4"/>
    <row r="73" spans="1:16" ht="16" thickBot="1" x14ac:dyDescent="0.4">
      <c r="A73" s="3" t="s">
        <v>50</v>
      </c>
      <c r="B73" s="15" t="e">
        <f>MAX(B69-B71,0)</f>
        <v>#DIV/0!</v>
      </c>
      <c r="C73" s="3" t="s">
        <v>26</v>
      </c>
    </row>
    <row r="74" spans="1:16" ht="16" thickBot="1" x14ac:dyDescent="0.4"/>
    <row r="75" spans="1:16" ht="16" thickBot="1" x14ac:dyDescent="0.4">
      <c r="A75" s="3" t="s">
        <v>51</v>
      </c>
      <c r="B75" s="15" t="e">
        <f>IF(OR(B9="Yes",B9="Y"),B73,IF(B73&lt;E75,B73,E75))</f>
        <v>#DIV/0!</v>
      </c>
      <c r="C75" s="3" t="s">
        <v>24</v>
      </c>
      <c r="D75" s="31" t="s">
        <v>47</v>
      </c>
      <c r="E75" s="39">
        <v>624</v>
      </c>
      <c r="F75" s="3" t="s">
        <v>153</v>
      </c>
    </row>
    <row r="76" spans="1:16" x14ac:dyDescent="0.35">
      <c r="A76" s="3" t="s">
        <v>93</v>
      </c>
      <c r="D76" s="3" t="s">
        <v>58</v>
      </c>
    </row>
    <row r="77" spans="1:16" x14ac:dyDescent="0.35">
      <c r="A77" s="3" t="s">
        <v>114</v>
      </c>
    </row>
    <row r="78" spans="1:16" x14ac:dyDescent="0.35">
      <c r="A78" s="3" t="s">
        <v>116</v>
      </c>
    </row>
    <row r="79" spans="1:16" ht="16" thickBot="1" x14ac:dyDescent="0.4">
      <c r="D79" s="3" t="s">
        <v>107</v>
      </c>
      <c r="G79" s="3" t="s">
        <v>153</v>
      </c>
    </row>
    <row r="80" spans="1:16" ht="16" thickBot="1" x14ac:dyDescent="0.4">
      <c r="A80" s="3" t="s">
        <v>52</v>
      </c>
      <c r="D80" s="17" t="s">
        <v>28</v>
      </c>
      <c r="E80" s="18">
        <v>1</v>
      </c>
      <c r="F80" s="18">
        <v>2</v>
      </c>
      <c r="G80" s="18">
        <v>3</v>
      </c>
      <c r="H80" s="18">
        <v>4</v>
      </c>
      <c r="I80" s="18">
        <v>5</v>
      </c>
      <c r="J80" s="18">
        <v>6</v>
      </c>
      <c r="K80" s="18">
        <v>7</v>
      </c>
      <c r="L80" s="18">
        <v>8</v>
      </c>
      <c r="M80" s="69" t="s">
        <v>34</v>
      </c>
      <c r="N80" s="70"/>
      <c r="O80" s="70"/>
      <c r="P80" s="70"/>
    </row>
    <row r="81" spans="1:16" ht="16" thickBot="1" x14ac:dyDescent="0.4">
      <c r="A81" s="3" t="s">
        <v>88</v>
      </c>
      <c r="B81" s="15" t="e">
        <f>IF(OR(B45="Yes",B45="Y"),B49,B49-B75)</f>
        <v>#DIV/0!</v>
      </c>
      <c r="C81" s="3" t="s">
        <v>25</v>
      </c>
      <c r="D81" s="20" t="s">
        <v>40</v>
      </c>
      <c r="E81" s="21">
        <v>1133</v>
      </c>
      <c r="F81" s="21">
        <v>1526</v>
      </c>
      <c r="G81" s="21">
        <v>1920</v>
      </c>
      <c r="H81" s="21">
        <v>2313</v>
      </c>
      <c r="I81" s="21">
        <v>2706</v>
      </c>
      <c r="J81" s="21">
        <v>3100</v>
      </c>
      <c r="K81" s="21">
        <v>3493</v>
      </c>
      <c r="L81" s="21">
        <v>3886</v>
      </c>
      <c r="M81" s="71">
        <v>394</v>
      </c>
      <c r="N81" s="72"/>
      <c r="O81" s="72"/>
      <c r="P81" s="72"/>
    </row>
    <row r="83" spans="1:16" s="4" customFormat="1" x14ac:dyDescent="0.35">
      <c r="A83" s="23" t="s">
        <v>57</v>
      </c>
      <c r="B83" s="24" t="e">
        <f>IF(OR(AND(B81&lt;=E81,B6=E80),AND(B81&lt;=F81,B6=F80),AND(B81&lt;=G81,B6=G80),AND(B81&lt;=H81,B6=H80),AND(B81&lt;=I81,B6=I80),AND(B81&lt;=J81,B6=J80),AND(B81&lt;=K81,B6=K80),AND(B81&lt;=L81,B6=L80),AND(B81&lt;=(L81+((B73-L80)*M81)),B6&gt;L80)),"YES","NO")</f>
        <v>#DIV/0!</v>
      </c>
      <c r="C83" s="25"/>
      <c r="D83" s="26" t="s">
        <v>67</v>
      </c>
      <c r="E83" s="26"/>
      <c r="F83" s="26"/>
      <c r="G83" s="26"/>
      <c r="H83" s="26"/>
      <c r="I83" s="26"/>
      <c r="J83" s="26"/>
      <c r="K83" s="26"/>
      <c r="L83" s="26"/>
      <c r="M83" s="26"/>
      <c r="N83" s="26"/>
      <c r="O83" s="26"/>
      <c r="P83" s="26"/>
    </row>
    <row r="85" spans="1:16" x14ac:dyDescent="0.35">
      <c r="A85" s="2" t="s">
        <v>117</v>
      </c>
      <c r="D85" s="40"/>
    </row>
    <row r="86" spans="1:16" ht="16" thickBot="1" x14ac:dyDescent="0.4"/>
    <row r="87" spans="1:16" ht="16" thickBot="1" x14ac:dyDescent="0.4">
      <c r="A87" s="3" t="s">
        <v>53</v>
      </c>
      <c r="B87" s="15" t="e">
        <f>B81*0.3</f>
        <v>#DIV/0!</v>
      </c>
      <c r="C87" s="3" t="s">
        <v>10</v>
      </c>
    </row>
    <row r="88" spans="1:16" ht="16" thickBot="1" x14ac:dyDescent="0.4">
      <c r="D88" s="40"/>
      <c r="M88" s="6"/>
    </row>
    <row r="89" spans="1:16" ht="16" thickBot="1" x14ac:dyDescent="0.4">
      <c r="A89" s="3" t="s">
        <v>62</v>
      </c>
      <c r="B89" s="15" t="e">
        <f>ROUNDUP(B87,0)</f>
        <v>#DIV/0!</v>
      </c>
      <c r="C89" s="3" t="s">
        <v>11</v>
      </c>
      <c r="G89" s="3" t="s">
        <v>153</v>
      </c>
    </row>
    <row r="90" spans="1:16" ht="16" thickBot="1" x14ac:dyDescent="0.4">
      <c r="A90" s="6"/>
      <c r="B90" s="6"/>
      <c r="D90" s="41" t="s">
        <v>28</v>
      </c>
      <c r="E90" s="18">
        <v>1</v>
      </c>
      <c r="F90" s="18">
        <v>2</v>
      </c>
      <c r="G90" s="18">
        <v>3</v>
      </c>
      <c r="H90" s="18">
        <v>4</v>
      </c>
      <c r="I90" s="18">
        <v>5</v>
      </c>
      <c r="J90" s="18">
        <v>6</v>
      </c>
      <c r="K90" s="18">
        <v>7</v>
      </c>
      <c r="L90" s="18">
        <v>8</v>
      </c>
      <c r="M90" s="69" t="s">
        <v>34</v>
      </c>
      <c r="N90" s="70"/>
      <c r="O90" s="70"/>
      <c r="P90" s="70"/>
    </row>
    <row r="91" spans="1:16" ht="32.25" customHeight="1" thickBot="1" x14ac:dyDescent="0.4">
      <c r="A91" s="3" t="s">
        <v>118</v>
      </c>
      <c r="B91" s="15" t="b">
        <f>IF(AND(B6&gt;0,B6&lt;F90),E91,IF(B6=F90,F91,IF(B6=G90,G91,IF(B6=H90,H91, IF(B6=I90,I91, IF(B6=J90,J91, IF(B6=K90, K91, IF(B6=L90, L91))))))))</f>
        <v>0</v>
      </c>
      <c r="C91" s="3" t="s">
        <v>12</v>
      </c>
      <c r="D91" s="41" t="s">
        <v>119</v>
      </c>
      <c r="E91" s="21">
        <v>281</v>
      </c>
      <c r="F91" s="21">
        <v>516</v>
      </c>
      <c r="G91" s="21">
        <v>740</v>
      </c>
      <c r="H91" s="21">
        <v>939</v>
      </c>
      <c r="I91" s="21">
        <v>1116</v>
      </c>
      <c r="J91" s="21">
        <v>1339</v>
      </c>
      <c r="K91" s="21">
        <v>1480</v>
      </c>
      <c r="L91" s="21">
        <v>1691</v>
      </c>
      <c r="M91" s="71">
        <v>211</v>
      </c>
      <c r="N91" s="72"/>
      <c r="O91" s="72"/>
      <c r="P91" s="72"/>
    </row>
    <row r="92" spans="1:16" x14ac:dyDescent="0.35">
      <c r="A92" s="42" t="s">
        <v>123</v>
      </c>
    </row>
    <row r="93" spans="1:16" ht="16" thickBot="1" x14ac:dyDescent="0.4">
      <c r="A93" s="42" t="s">
        <v>64</v>
      </c>
    </row>
    <row r="94" spans="1:16" ht="16" thickBot="1" x14ac:dyDescent="0.4">
      <c r="A94" s="42" t="s">
        <v>124</v>
      </c>
      <c r="B94" s="15" t="e">
        <f>IF(B89&lt;0,B91,IF(B89&gt;B91,0,IF(B89&lt;B91,(B91-B89))))</f>
        <v>#DIV/0!</v>
      </c>
      <c r="C94" s="3" t="s">
        <v>14</v>
      </c>
    </row>
    <row r="96" spans="1:16" ht="16" thickBot="1" x14ac:dyDescent="0.4">
      <c r="A96" s="3" t="s">
        <v>59</v>
      </c>
      <c r="D96" s="43"/>
    </row>
    <row r="97" spans="1:16" ht="16" thickBot="1" x14ac:dyDescent="0.4">
      <c r="A97" s="3" t="s">
        <v>79</v>
      </c>
      <c r="B97" s="15">
        <f>IF(B6&gt;2,IF(OR(B94=1,B94=3,B94=5),B94+1,B94),0)</f>
        <v>0</v>
      </c>
      <c r="C97" s="3" t="s">
        <v>15</v>
      </c>
    </row>
    <row r="98" spans="1:16" x14ac:dyDescent="0.35">
      <c r="D98" s="43"/>
    </row>
    <row r="99" spans="1:16" x14ac:dyDescent="0.35">
      <c r="A99" s="3" t="s">
        <v>60</v>
      </c>
      <c r="D99" s="40"/>
    </row>
    <row r="100" spans="1:16" ht="16" thickBot="1" x14ac:dyDescent="0.4">
      <c r="A100" s="3" t="s">
        <v>154</v>
      </c>
    </row>
    <row r="101" spans="1:16" ht="16" thickBot="1" x14ac:dyDescent="0.4">
      <c r="A101" s="3" t="s">
        <v>155</v>
      </c>
      <c r="B101" s="15">
        <f>IF(AND(OR(B6=1,B6=2)),IF(AND(B83="YES",B94&lt;19),23,B94),0)</f>
        <v>0</v>
      </c>
      <c r="C101" s="3" t="s">
        <v>16</v>
      </c>
      <c r="D101" s="4" t="s">
        <v>156</v>
      </c>
    </row>
    <row r="103" spans="1:16" s="6" customFormat="1" x14ac:dyDescent="0.35">
      <c r="A103" s="44" t="s">
        <v>120</v>
      </c>
      <c r="B103" s="45">
        <f>IF(OR(B6=1,B6=2),B101,B97)</f>
        <v>0</v>
      </c>
      <c r="C103" s="44" t="s">
        <v>17</v>
      </c>
      <c r="D103" s="44"/>
      <c r="E103" s="44"/>
      <c r="F103" s="44"/>
      <c r="G103" s="44"/>
      <c r="H103" s="44"/>
      <c r="I103" s="44"/>
      <c r="J103" s="44"/>
      <c r="K103" s="44"/>
      <c r="L103" s="44"/>
      <c r="M103" s="44"/>
      <c r="N103" s="44"/>
      <c r="O103" s="44"/>
      <c r="P103" s="44"/>
    </row>
    <row r="105" spans="1:16" x14ac:dyDescent="0.35">
      <c r="C105" s="46"/>
    </row>
    <row r="106" spans="1:16" x14ac:dyDescent="0.35">
      <c r="A106" s="2" t="s">
        <v>30</v>
      </c>
    </row>
    <row r="107" spans="1:16" x14ac:dyDescent="0.35">
      <c r="B107" s="6"/>
      <c r="C107" s="40"/>
    </row>
    <row r="108" spans="1:16" x14ac:dyDescent="0.35">
      <c r="A108" s="3" t="s">
        <v>61</v>
      </c>
      <c r="B108" s="68"/>
      <c r="C108" s="3" t="s">
        <v>17</v>
      </c>
    </row>
    <row r="109" spans="1:16" x14ac:dyDescent="0.35">
      <c r="B109" s="38"/>
      <c r="D109" s="6"/>
    </row>
    <row r="110" spans="1:16" x14ac:dyDescent="0.35">
      <c r="A110" s="9" t="s">
        <v>125</v>
      </c>
      <c r="B110" s="68"/>
    </row>
    <row r="111" spans="1:16" ht="16" thickBot="1" x14ac:dyDescent="0.4">
      <c r="C111" s="40"/>
      <c r="D111" s="6"/>
    </row>
    <row r="112" spans="1:16" ht="16" thickBot="1" x14ac:dyDescent="0.4">
      <c r="A112" s="3" t="s">
        <v>54</v>
      </c>
      <c r="B112" s="47">
        <f>B108-B110</f>
        <v>0</v>
      </c>
      <c r="C112" s="3" t="s">
        <v>13</v>
      </c>
    </row>
    <row r="113" spans="1:16" ht="16" thickBot="1" x14ac:dyDescent="0.4"/>
    <row r="114" spans="1:16" ht="16" thickBot="1" x14ac:dyDescent="0.4">
      <c r="A114" s="3" t="s">
        <v>55</v>
      </c>
      <c r="B114" s="48">
        <f>B112/30</f>
        <v>0</v>
      </c>
      <c r="C114" s="40" t="s">
        <v>18</v>
      </c>
    </row>
    <row r="115" spans="1:16" ht="16" thickBot="1" x14ac:dyDescent="0.4">
      <c r="B115" s="49"/>
    </row>
    <row r="116" spans="1:16" ht="16" thickBot="1" x14ac:dyDescent="0.4">
      <c r="A116" s="3" t="s">
        <v>65</v>
      </c>
      <c r="B116" s="15">
        <f>B114*B103</f>
        <v>0</v>
      </c>
      <c r="C116" s="3" t="s">
        <v>20</v>
      </c>
    </row>
    <row r="117" spans="1:16" ht="16" thickBot="1" x14ac:dyDescent="0.4">
      <c r="B117" s="49"/>
      <c r="C117" s="40"/>
    </row>
    <row r="118" spans="1:16" ht="16" thickBot="1" x14ac:dyDescent="0.4">
      <c r="A118" s="3" t="s">
        <v>121</v>
      </c>
      <c r="B118" s="15">
        <f>B116</f>
        <v>0</v>
      </c>
      <c r="C118" s="3" t="s">
        <v>19</v>
      </c>
    </row>
    <row r="119" spans="1:16" ht="16" thickBot="1" x14ac:dyDescent="0.4">
      <c r="A119" s="3" t="s">
        <v>56</v>
      </c>
      <c r="B119" s="15">
        <f>ROUNDDOWN(B118, 0)</f>
        <v>0</v>
      </c>
      <c r="C119" s="3" t="s">
        <v>19</v>
      </c>
    </row>
    <row r="121" spans="1:16" s="6" customFormat="1" x14ac:dyDescent="0.35">
      <c r="A121" s="26" t="s">
        <v>122</v>
      </c>
      <c r="B121" s="45">
        <f>B119</f>
        <v>0</v>
      </c>
      <c r="C121" s="50"/>
      <c r="D121" s="44"/>
      <c r="E121" s="44"/>
      <c r="F121" s="44"/>
      <c r="G121" s="44"/>
      <c r="H121" s="44"/>
      <c r="I121" s="44"/>
      <c r="J121" s="44"/>
      <c r="K121" s="44"/>
      <c r="L121" s="44"/>
      <c r="M121" s="44"/>
      <c r="N121" s="44"/>
      <c r="O121" s="44"/>
      <c r="P121" s="44"/>
    </row>
    <row r="123" spans="1:16" s="6" customFormat="1" x14ac:dyDescent="0.35">
      <c r="A123" s="51" t="s">
        <v>109</v>
      </c>
      <c r="B123" s="45" t="b">
        <f>IF(AND(B6=E126),E127,IF(B6=F126,F127,IF(B6=G126,G127,IF(B6=H126,H127, IF(B6=I126,I127, IF(B6=J126,J127, IF(B6=K126, K127, IF(B6=L126, L127))))))))</f>
        <v>0</v>
      </c>
      <c r="C123" s="50"/>
      <c r="D123" s="44"/>
      <c r="E123" s="44"/>
      <c r="F123" s="44"/>
      <c r="G123" s="44"/>
      <c r="H123" s="44"/>
      <c r="I123" s="44"/>
      <c r="J123" s="44"/>
      <c r="K123" s="44"/>
      <c r="L123" s="44"/>
      <c r="M123" s="44"/>
      <c r="N123" s="44"/>
      <c r="O123" s="44"/>
      <c r="P123" s="44"/>
    </row>
    <row r="124" spans="1:16" s="6" customFormat="1" x14ac:dyDescent="0.35">
      <c r="A124" s="52"/>
      <c r="B124" s="53"/>
      <c r="C124" s="54"/>
    </row>
    <row r="125" spans="1:16" s="6" customFormat="1" ht="16" thickBot="1" x14ac:dyDescent="0.4">
      <c r="A125" s="52"/>
      <c r="B125" s="54"/>
      <c r="C125" s="54"/>
      <c r="D125" s="4" t="s">
        <v>108</v>
      </c>
      <c r="E125" s="6" t="s">
        <v>139</v>
      </c>
    </row>
    <row r="126" spans="1:16" ht="16" thickBot="1" x14ac:dyDescent="0.4">
      <c r="D126" s="17" t="s">
        <v>27</v>
      </c>
      <c r="E126" s="18">
        <v>1</v>
      </c>
      <c r="F126" s="18">
        <v>2</v>
      </c>
      <c r="G126" s="18">
        <v>3</v>
      </c>
      <c r="H126" s="19">
        <v>4</v>
      </c>
      <c r="I126" s="18">
        <v>5</v>
      </c>
      <c r="J126" s="18">
        <v>6</v>
      </c>
      <c r="K126" s="18">
        <v>7</v>
      </c>
      <c r="L126" s="19">
        <v>8</v>
      </c>
      <c r="M126" s="69" t="s">
        <v>34</v>
      </c>
      <c r="N126" s="70"/>
      <c r="O126" s="70"/>
      <c r="P126" s="70"/>
    </row>
    <row r="127" spans="1:16" ht="16" thickBot="1" x14ac:dyDescent="0.4">
      <c r="C127" s="40"/>
      <c r="D127" s="20" t="s">
        <v>126</v>
      </c>
      <c r="E127" s="21">
        <f>E81*1.3</f>
        <v>1472.9</v>
      </c>
      <c r="F127" s="21">
        <f t="shared" ref="F127:L127" si="1">F81*1.3</f>
        <v>1983.8</v>
      </c>
      <c r="G127" s="21">
        <f t="shared" si="1"/>
        <v>2496</v>
      </c>
      <c r="H127" s="21">
        <f t="shared" si="1"/>
        <v>3006.9</v>
      </c>
      <c r="I127" s="21">
        <f t="shared" si="1"/>
        <v>3517.8</v>
      </c>
      <c r="J127" s="21">
        <f t="shared" si="1"/>
        <v>4030</v>
      </c>
      <c r="K127" s="21">
        <f t="shared" si="1"/>
        <v>4540.9000000000005</v>
      </c>
      <c r="L127" s="21">
        <f t="shared" si="1"/>
        <v>5051.8</v>
      </c>
      <c r="M127" s="71">
        <v>512</v>
      </c>
      <c r="N127" s="72"/>
      <c r="O127" s="72"/>
      <c r="P127" s="72"/>
    </row>
    <row r="129" spans="1:1" x14ac:dyDescent="0.35">
      <c r="A129" s="3" t="s">
        <v>143</v>
      </c>
    </row>
    <row r="130" spans="1:1" x14ac:dyDescent="0.35">
      <c r="A130" s="3" t="s">
        <v>141</v>
      </c>
    </row>
    <row r="131" spans="1:1" x14ac:dyDescent="0.35">
      <c r="A131" s="3" t="s">
        <v>63</v>
      </c>
    </row>
    <row r="132" spans="1:1" x14ac:dyDescent="0.35">
      <c r="A132" s="3" t="s">
        <v>140</v>
      </c>
    </row>
    <row r="133" spans="1:1" x14ac:dyDescent="0.35">
      <c r="A133" s="3" t="s">
        <v>142</v>
      </c>
    </row>
  </sheetData>
  <sheetProtection algorithmName="SHA-512" hashValue="iJDfFpYW88dY+uZ285MRfMm4YDc3Luk/GgwZf5NHKrfhiji+GynoYdqg+p4gTFpkAth4HxIz/jRJnfV0KoEM5A==" saltValue="xHEkWXv9KpFOVk4Ar6nccw==" spinCount="100000" sheet="1" objects="1" scenarios="1"/>
  <mergeCells count="8">
    <mergeCell ref="M126:P126"/>
    <mergeCell ref="M127:P127"/>
    <mergeCell ref="M21:P21"/>
    <mergeCell ref="M22:P22"/>
    <mergeCell ref="M80:P80"/>
    <mergeCell ref="M81:P81"/>
    <mergeCell ref="M90:P90"/>
    <mergeCell ref="M91:P91"/>
  </mergeCells>
  <phoneticPr fontId="4" type="noConversion"/>
  <hyperlinks>
    <hyperlink ref="D12" location="'Helpful Calculator Rules &amp; Regs'!A21" display="Gross income is before tax. Do not include earned income for children 18 and under attending school, or for ineligible students.  Click here for rules on how income of people who are ineligible is counted."/>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Oct22-Sep23 CalFresh Calculator</vt:lpstr>
      <vt:lpstr>Sheet1</vt:lpstr>
    </vt:vector>
  </TitlesOfParts>
  <Company>Rush Consulting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Rush</dc:creator>
  <cp:lastModifiedBy>Stephanie Nishio</cp:lastModifiedBy>
  <cp:lastPrinted>2014-02-04T22:36:34Z</cp:lastPrinted>
  <dcterms:created xsi:type="dcterms:W3CDTF">2004-08-26T20:01:03Z</dcterms:created>
  <dcterms:modified xsi:type="dcterms:W3CDTF">2023-03-30T20:15:34Z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